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92" yWindow="1560" windowWidth="22980" windowHeight="12768"/>
  </bookViews>
  <sheets>
    <sheet name="TAR" sheetId="2" r:id="rId1"/>
    <sheet name="data" sheetId="1" r:id="rId2"/>
    <sheet name="Sheet3" sheetId="3" r:id="rId3"/>
  </sheets>
  <definedNames>
    <definedName name="_xlnm._FilterDatabase" localSheetId="1" hidden="1">data!$A$1:$D$123</definedName>
  </definedNames>
  <calcPr calcId="125725"/>
</workbook>
</file>

<file path=xl/calcChain.xml><?xml version="1.0" encoding="utf-8"?>
<calcChain xmlns="http://schemas.openxmlformats.org/spreadsheetml/2006/main">
  <c r="M18" i="2" a="1"/>
  <c r="M18" s="1"/>
  <c r="M17" a="1"/>
  <c r="M17" s="1"/>
  <c r="M15" a="1"/>
  <c r="M15" s="1"/>
  <c r="M14" a="1"/>
  <c r="M14" s="1"/>
  <c r="M12" a="1"/>
  <c r="M12" s="1"/>
  <c r="M11" a="1"/>
  <c r="M11" s="1"/>
  <c r="I18" a="1"/>
  <c r="I18" s="1"/>
  <c r="I17" a="1"/>
  <c r="I17" s="1"/>
  <c r="I15" a="1"/>
  <c r="I15" s="1"/>
  <c r="I14" a="1"/>
  <c r="I14" s="1"/>
  <c r="I12" a="1"/>
  <c r="I12" s="1"/>
  <c r="I11" a="1"/>
  <c r="I11" s="1"/>
  <c r="G18" a="1"/>
  <c r="G18" s="1"/>
  <c r="G17" a="1"/>
  <c r="G17" s="1"/>
  <c r="G15" a="1"/>
  <c r="G15" s="1"/>
  <c r="G14" a="1"/>
  <c r="G14" s="1"/>
  <c r="G12" a="1"/>
  <c r="G12" s="1"/>
  <c r="G11" a="1"/>
  <c r="G11" s="1"/>
  <c r="E18" a="1"/>
  <c r="E18" s="1"/>
  <c r="E17" a="1"/>
  <c r="E17" s="1"/>
  <c r="E15" a="1"/>
  <c r="E15" s="1"/>
  <c r="E14" a="1"/>
  <c r="E14" s="1"/>
  <c r="E12" a="1"/>
  <c r="E12" s="1"/>
  <c r="E11" a="1"/>
  <c r="E11" s="1"/>
  <c r="C18" a="1"/>
  <c r="C18" s="1"/>
  <c r="C17" a="1"/>
  <c r="C17" s="1"/>
  <c r="C15" a="1"/>
  <c r="C15" s="1"/>
  <c r="C14" a="1"/>
  <c r="C14" s="1"/>
  <c r="C12" a="1"/>
  <c r="C12" s="1"/>
  <c r="C11" a="1"/>
  <c r="C11" s="1"/>
  <c r="B4"/>
  <c r="E20" l="1"/>
  <c r="I20"/>
  <c r="M20"/>
  <c r="C20"/>
  <c r="G20"/>
  <c r="K18"/>
  <c r="K17"/>
  <c r="K15"/>
  <c r="K14"/>
  <c r="K12"/>
  <c r="K11"/>
  <c r="K20" l="1"/>
  <c r="L18" s="1"/>
  <c r="F20" l="1"/>
  <c r="H20"/>
  <c r="L17"/>
  <c r="L14"/>
  <c r="L11"/>
  <c r="J20"/>
  <c r="L12"/>
  <c r="N17"/>
  <c r="N14"/>
  <c r="J17"/>
  <c r="J14"/>
  <c r="J11"/>
  <c r="H12"/>
  <c r="H15"/>
  <c r="H18"/>
  <c r="F11"/>
  <c r="N12"/>
  <c r="D15"/>
  <c r="H17"/>
  <c r="N18"/>
  <c r="H11"/>
  <c r="J12"/>
  <c r="N15"/>
  <c r="D11"/>
  <c r="D14"/>
  <c r="D17"/>
  <c r="N11"/>
  <c r="F14"/>
  <c r="J15"/>
  <c r="D18"/>
  <c r="J18"/>
  <c r="D12"/>
  <c r="H14"/>
  <c r="F17"/>
  <c r="F12"/>
  <c r="F15"/>
  <c r="F18"/>
  <c r="D20"/>
  <c r="L15"/>
  <c r="L20" l="1"/>
  <c r="N20"/>
</calcChain>
</file>

<file path=xl/sharedStrings.xml><?xml version="1.0" encoding="utf-8"?>
<sst xmlns="http://schemas.openxmlformats.org/spreadsheetml/2006/main" count="343" uniqueCount="25">
  <si>
    <t>Age Class</t>
  </si>
  <si>
    <t>Pine Density</t>
  </si>
  <si>
    <t>MPB Attack Severity</t>
  </si>
  <si>
    <t>Sum Of area_ha</t>
  </si>
  <si>
    <t>&gt;60 years</t>
  </si>
  <si>
    <t>&gt;70%</t>
  </si>
  <si>
    <t>Light (&lt;11%)</t>
  </si>
  <si>
    <t>Moderate (11-30%)</t>
  </si>
  <si>
    <t>No Attack</t>
  </si>
  <si>
    <t>Severe (31-50%)</t>
  </si>
  <si>
    <t>Very Severe (&gt;50%)</t>
  </si>
  <si>
    <t>30-70%</t>
  </si>
  <si>
    <t>21-40 years</t>
  </si>
  <si>
    <t>41-60 years</t>
  </si>
  <si>
    <t>Area (ha) of MPB Attack Severity by Age Class and Density within Pine Stands (Pine Species &gt;= 30% density - The Pine Mask)</t>
  </si>
  <si>
    <t>TSA Area</t>
  </si>
  <si>
    <t>Area (ha)</t>
  </si>
  <si>
    <t>Percent of all Pine (Pine Mask)</t>
  </si>
  <si>
    <t>All Severity</t>
  </si>
  <si>
    <t>Total Area of Attack (ha)</t>
  </si>
  <si>
    <t>Total</t>
  </si>
  <si>
    <t>&lt;21 years</t>
  </si>
  <si>
    <t>MPB Attack as a percentage of Pine affected within the VRI Stand</t>
  </si>
  <si>
    <t>TAR - 2011 MPB Update</t>
  </si>
  <si>
    <t>Pine Mask Unharvested Area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</si>
</sst>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%"/>
  </numFmts>
  <fonts count="6">
    <font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rgb="FFFFFF9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57">
    <xf numFmtId="0" fontId="0" fillId="0" borderId="0" xfId="0"/>
    <xf numFmtId="0" fontId="3" fillId="0" borderId="0" xfId="0" applyFont="1"/>
    <xf numFmtId="0" fontId="4" fillId="0" borderId="0" xfId="0" applyFont="1"/>
    <xf numFmtId="0" fontId="0" fillId="0" borderId="0" xfId="0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Fill="1"/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6" xfId="0" applyFont="1" applyBorder="1" applyAlignment="1">
      <alignment vertical="center"/>
    </xf>
    <xf numFmtId="164" fontId="5" fillId="0" borderId="6" xfId="0" applyNumberFormat="1" applyFont="1" applyBorder="1" applyAlignment="1">
      <alignment vertical="center"/>
    </xf>
    <xf numFmtId="164" fontId="3" fillId="0" borderId="6" xfId="0" applyNumberFormat="1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5" fillId="8" borderId="15" xfId="0" applyFont="1" applyFill="1" applyBorder="1" applyAlignment="1">
      <alignment vertical="center"/>
    </xf>
    <xf numFmtId="0" fontId="3" fillId="8" borderId="0" xfId="0" applyFont="1" applyFill="1" applyBorder="1" applyAlignment="1">
      <alignment vertical="center"/>
    </xf>
    <xf numFmtId="0" fontId="5" fillId="8" borderId="0" xfId="0" applyFont="1" applyFill="1" applyBorder="1" applyAlignment="1">
      <alignment vertical="center"/>
    </xf>
    <xf numFmtId="0" fontId="5" fillId="8" borderId="16" xfId="0" applyFont="1" applyFill="1" applyBorder="1" applyAlignment="1">
      <alignment vertical="center"/>
    </xf>
    <xf numFmtId="0" fontId="0" fillId="8" borderId="15" xfId="0" applyFill="1" applyBorder="1" applyAlignment="1">
      <alignment vertical="center"/>
    </xf>
    <xf numFmtId="0" fontId="3" fillId="0" borderId="18" xfId="0" applyFont="1" applyBorder="1" applyAlignment="1">
      <alignment horizontal="right"/>
    </xf>
    <xf numFmtId="0" fontId="5" fillId="0" borderId="19" xfId="0" applyFont="1" applyBorder="1"/>
    <xf numFmtId="165" fontId="5" fillId="0" borderId="6" xfId="0" applyNumberFormat="1" applyFont="1" applyBorder="1" applyAlignment="1">
      <alignment vertical="center"/>
    </xf>
    <xf numFmtId="165" fontId="5" fillId="0" borderId="20" xfId="0" applyNumberFormat="1" applyFont="1" applyBorder="1"/>
    <xf numFmtId="165" fontId="5" fillId="0" borderId="13" xfId="0" applyNumberFormat="1" applyFont="1" applyBorder="1" applyAlignment="1">
      <alignment vertical="center"/>
    </xf>
    <xf numFmtId="165" fontId="5" fillId="0" borderId="19" xfId="0" applyNumberFormat="1" applyFont="1" applyBorder="1" applyAlignment="1">
      <alignment vertical="center"/>
    </xf>
    <xf numFmtId="164" fontId="3" fillId="0" borderId="19" xfId="0" applyNumberFormat="1" applyFont="1" applyBorder="1"/>
    <xf numFmtId="0" fontId="3" fillId="0" borderId="21" xfId="0" applyFont="1" applyBorder="1" applyAlignment="1">
      <alignment horizontal="center" vertical="center" wrapText="1"/>
    </xf>
    <xf numFmtId="165" fontId="5" fillId="0" borderId="21" xfId="0" applyNumberFormat="1" applyFont="1" applyBorder="1" applyAlignment="1">
      <alignment vertical="center"/>
    </xf>
    <xf numFmtId="165" fontId="5" fillId="0" borderId="8" xfId="0" applyNumberFormat="1" applyFont="1" applyBorder="1"/>
    <xf numFmtId="164" fontId="5" fillId="0" borderId="12" xfId="0" applyNumberFormat="1" applyFont="1" applyBorder="1" applyAlignment="1">
      <alignment vertical="center"/>
    </xf>
    <xf numFmtId="164" fontId="3" fillId="0" borderId="18" xfId="0" applyNumberFormat="1" applyFont="1" applyBorder="1"/>
    <xf numFmtId="3" fontId="3" fillId="0" borderId="0" xfId="0" applyNumberFormat="1" applyFont="1" applyBorder="1" applyAlignment="1">
      <alignment vertical="center"/>
    </xf>
    <xf numFmtId="0" fontId="1" fillId="0" borderId="2" xfId="1" applyFont="1" applyFill="1" applyBorder="1" applyAlignment="1">
      <alignment wrapText="1"/>
    </xf>
    <xf numFmtId="0" fontId="1" fillId="0" borderId="2" xfId="1" applyFont="1" applyFill="1" applyBorder="1" applyAlignment="1">
      <alignment horizontal="right" wrapText="1"/>
    </xf>
    <xf numFmtId="0" fontId="1" fillId="0" borderId="2" xfId="2" applyFont="1" applyFill="1" applyBorder="1" applyAlignment="1">
      <alignment wrapText="1"/>
    </xf>
    <xf numFmtId="0" fontId="1" fillId="0" borderId="2" xfId="2" applyFont="1" applyFill="1" applyBorder="1" applyAlignment="1">
      <alignment horizontal="right" wrapText="1"/>
    </xf>
    <xf numFmtId="0" fontId="3" fillId="0" borderId="1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3" borderId="7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3" fillId="6" borderId="7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/>
    </xf>
    <xf numFmtId="0" fontId="3" fillId="7" borderId="10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1" fillId="2" borderId="1" xfId="3" applyFont="1" applyFill="1" applyBorder="1" applyAlignment="1">
      <alignment horizontal="center"/>
    </xf>
    <xf numFmtId="0" fontId="1" fillId="0" borderId="2" xfId="3" applyFont="1" applyFill="1" applyBorder="1" applyAlignment="1">
      <alignment wrapText="1"/>
    </xf>
    <xf numFmtId="0" fontId="1" fillId="0" borderId="2" xfId="3" applyFont="1" applyFill="1" applyBorder="1" applyAlignment="1">
      <alignment horizontal="right" wrapText="1"/>
    </xf>
  </cellXfs>
  <cellStyles count="4">
    <cellStyle name="Normal" xfId="0" builtinId="0"/>
    <cellStyle name="Normal_data" xfId="3"/>
    <cellStyle name="Normal_DPG_data" xfId="2"/>
    <cellStyle name="Normal_TDC_data" xfId="1"/>
  </cellStyles>
  <dxfs count="0"/>
  <tableStyles count="0" defaultTableStyle="TableStyleMedium9" defaultPivotStyle="PivotStyleLight16"/>
  <colors>
    <mruColors>
      <color rgb="FF99CC00"/>
      <color rgb="FFFF6600"/>
      <color rgb="FFFFCC00"/>
      <color rgb="FFFFCC99"/>
      <color rgb="FFFFFF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356"/>
  <sheetViews>
    <sheetView tabSelected="1" workbookViewId="0">
      <selection activeCell="A22" sqref="A22"/>
    </sheetView>
  </sheetViews>
  <sheetFormatPr defaultRowHeight="14.4"/>
  <cols>
    <col min="1" max="1" width="24.77734375" customWidth="1"/>
    <col min="2" max="2" width="11.109375" customWidth="1"/>
    <col min="3" max="3" width="11.44140625" bestFit="1" customWidth="1"/>
    <col min="4" max="4" width="10.88671875" customWidth="1"/>
    <col min="6" max="6" width="10.88671875" customWidth="1"/>
    <col min="8" max="8" width="10.88671875" customWidth="1"/>
    <col min="10" max="12" width="10.88671875" customWidth="1"/>
    <col min="14" max="14" width="10.88671875" customWidth="1"/>
  </cols>
  <sheetData>
    <row r="1" spans="1:33" ht="15.6">
      <c r="A1" s="2" t="s">
        <v>23</v>
      </c>
    </row>
    <row r="2" spans="1:33" ht="15.6">
      <c r="A2" s="2" t="s">
        <v>14</v>
      </c>
    </row>
    <row r="3" spans="1:33">
      <c r="A3" s="1" t="s">
        <v>15</v>
      </c>
      <c r="B3" s="33">
        <v>1389074.42917068</v>
      </c>
    </row>
    <row r="4" spans="1:33">
      <c r="A4" s="1" t="s">
        <v>24</v>
      </c>
      <c r="B4" s="33">
        <f>SUM(data!D2:D200)</f>
        <v>129229.97219692123</v>
      </c>
    </row>
    <row r="5" spans="1:33">
      <c r="A5" s="1"/>
      <c r="B5" s="6"/>
    </row>
    <row r="6" spans="1:33" ht="15.6">
      <c r="A6" s="2" t="s">
        <v>22</v>
      </c>
      <c r="B6" s="6"/>
    </row>
    <row r="7" spans="1:33" ht="15" thickBot="1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</row>
    <row r="8" spans="1:33" ht="15" thickBot="1">
      <c r="A8" s="44" t="s">
        <v>2</v>
      </c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6"/>
      <c r="N8" s="47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</row>
    <row r="9" spans="1:33">
      <c r="A9" s="48"/>
      <c r="B9" s="49"/>
      <c r="C9" s="40" t="s">
        <v>6</v>
      </c>
      <c r="D9" s="40"/>
      <c r="E9" s="41" t="s">
        <v>7</v>
      </c>
      <c r="F9" s="41"/>
      <c r="G9" s="42" t="s">
        <v>9</v>
      </c>
      <c r="H9" s="42"/>
      <c r="I9" s="43" t="s">
        <v>10</v>
      </c>
      <c r="J9" s="43"/>
      <c r="K9" s="49" t="s">
        <v>18</v>
      </c>
      <c r="L9" s="51"/>
      <c r="M9" s="52" t="s">
        <v>8</v>
      </c>
      <c r="N9" s="53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</row>
    <row r="10" spans="1:33" s="3" customFormat="1" ht="50.4" customHeight="1">
      <c r="A10" s="14" t="s">
        <v>0</v>
      </c>
      <c r="B10" s="12" t="s">
        <v>1</v>
      </c>
      <c r="C10" s="12" t="s">
        <v>16</v>
      </c>
      <c r="D10" s="13" t="s">
        <v>17</v>
      </c>
      <c r="E10" s="12" t="s">
        <v>16</v>
      </c>
      <c r="F10" s="13" t="s">
        <v>17</v>
      </c>
      <c r="G10" s="12" t="s">
        <v>16</v>
      </c>
      <c r="H10" s="13" t="s">
        <v>17</v>
      </c>
      <c r="I10" s="12" t="s">
        <v>16</v>
      </c>
      <c r="J10" s="13" t="s">
        <v>17</v>
      </c>
      <c r="K10" s="13" t="s">
        <v>19</v>
      </c>
      <c r="L10" s="28" t="s">
        <v>17</v>
      </c>
      <c r="M10" s="14" t="s">
        <v>16</v>
      </c>
      <c r="N10" s="15" t="s">
        <v>17</v>
      </c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</row>
    <row r="11" spans="1:33" s="8" customFormat="1">
      <c r="A11" s="50" t="s">
        <v>12</v>
      </c>
      <c r="B11" s="9" t="s">
        <v>11</v>
      </c>
      <c r="C11" s="10">
        <f t="array" ref="C11">SUM(IF(data!A2:A200="21-40 years",IF(data!B2:B200="30-70%",IF(data!C2:C200="Light (&lt;11%)",data!D2:D200,0),0),0))</f>
        <v>831.7460528628726</v>
      </c>
      <c r="D11" s="23">
        <f>C11/($K$20+$M$20)</f>
        <v>6.7532326046998705E-3</v>
      </c>
      <c r="E11" s="10">
        <f t="array" ref="E11">SUM(IF(data!A2:A200="21-40 years",IF(data!B2:B200="30-70%",IF(data!C2:C200="Moderate (11-30%)",data!D2:D200,0),0),0))</f>
        <v>1000.897181370482</v>
      </c>
      <c r="F11" s="23">
        <f>E11/($K$20+$M$20)</f>
        <v>8.126628862160314E-3</v>
      </c>
      <c r="G11" s="10">
        <f t="array" ref="G11">SUM(IF(data!A2:A200="21-40 years",IF(data!B2:B200="30-70%",IF(data!C2:C200="Severe (31-50%)",data!D2:D200,0),0),0))</f>
        <v>193.07553004687287</v>
      </c>
      <c r="H11" s="23">
        <f>G11/($K$20+$M$20)</f>
        <v>1.5676467116306457E-3</v>
      </c>
      <c r="I11" s="10">
        <f t="array" ref="I11">SUM(IF(data!A2:A200="21-40 years",IF(data!B2:B200="30-70%",IF(data!C2:C200="Very Severe (&gt;50%)",data!D2:D200,0),0),0))</f>
        <v>365.65354204214088</v>
      </c>
      <c r="J11" s="23">
        <f>I11/($K$20+$M$20)</f>
        <v>2.9688670161324994E-3</v>
      </c>
      <c r="K11" s="11">
        <f>SUM(C11,E11,G11,I11)</f>
        <v>2391.3723063223683</v>
      </c>
      <c r="L11" s="29">
        <f>K11/($K$20+$M$20)</f>
        <v>1.9416375194623331E-2</v>
      </c>
      <c r="M11" s="31">
        <f t="array" ref="M11">SUM(IF(data!A2:A200="21-40 years",IF(data!B2:B200="30-70%",IF(data!C2:C200="No Attack",data!D2:D200,0),0),0))</f>
        <v>2706.8942885540891</v>
      </c>
      <c r="N11" s="25">
        <f>M11/($K$20+$M$20)</f>
        <v>2.197820681447003E-2</v>
      </c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</row>
    <row r="12" spans="1:33" s="8" customFormat="1">
      <c r="A12" s="39"/>
      <c r="B12" s="9" t="s">
        <v>5</v>
      </c>
      <c r="C12" s="10">
        <f t="array" ref="C12">SUM(IF(data!A2:A200="21-40 years",IF(data!B2:B200="&gt;70%",IF(data!C2:C200="Light (&lt;11%)",data!D2:D200,0),0),0))</f>
        <v>388.04573242348567</v>
      </c>
      <c r="D12" s="23">
        <f>C12/($K$20+$M$20)</f>
        <v>3.1506769203135244E-3</v>
      </c>
      <c r="E12" s="10">
        <f t="array" ref="E12">SUM(IF(data!A2:A200="21-40 years",IF(data!B2:B200="&gt;70%",IF(data!C2:C200="Moderate (11-30%)",data!D2:D200,0),0),0))</f>
        <v>171.95768799013644</v>
      </c>
      <c r="F12" s="23">
        <f>E12/($K$20+$M$20)</f>
        <v>1.3961836803032617E-3</v>
      </c>
      <c r="G12" s="10">
        <f t="array" ref="G12">SUM(IF(data!A2:A200="21-40 years",IF(data!B2:B200="&gt;70%",IF(data!C2:C200="Severe (31-50%)",data!D2:D200,0),0),0))</f>
        <v>127.73046753696566</v>
      </c>
      <c r="H12" s="23">
        <f>G12/($K$20+$M$20)</f>
        <v>1.0370876483454838E-3</v>
      </c>
      <c r="I12" s="10">
        <f t="array" ref="I12">SUM(IF(data!A2:A200="21-40 years",IF(data!B2:B200="&gt;70%",IF(data!C2:C200="Very Severe (&gt;50%)",data!D2:D200,0),0),0))</f>
        <v>234.01652741375366</v>
      </c>
      <c r="J12" s="23">
        <f>I12/($K$20+$M$20)</f>
        <v>1.9000607667804018E-3</v>
      </c>
      <c r="K12" s="11">
        <f>SUM(C12,E12,G12,I12)</f>
        <v>921.75041536434139</v>
      </c>
      <c r="L12" s="29">
        <f>K12/($K$20+$M$20)</f>
        <v>7.4840090157426709E-3</v>
      </c>
      <c r="M12" s="31">
        <f t="array" ref="M12">SUM(IF(data!A2:A200="21-40 years",IF(data!B2:B200="&gt;70%",IF(data!C2:C200="No Attack",data!D2:D200,0),0),0))</f>
        <v>827.68695858691831</v>
      </c>
      <c r="N12" s="25">
        <f>M12/($K$20+$M$20)</f>
        <v>6.7202754205742919E-3</v>
      </c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</row>
    <row r="13" spans="1:33" s="8" customFormat="1" ht="4.05" customHeight="1">
      <c r="A13" s="16"/>
      <c r="B13" s="17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6"/>
      <c r="N13" s="19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</row>
    <row r="14" spans="1:33" s="8" customFormat="1">
      <c r="A14" s="38" t="s">
        <v>13</v>
      </c>
      <c r="B14" s="9" t="s">
        <v>11</v>
      </c>
      <c r="C14" s="10">
        <f t="array" ref="C14">SUM(IF(data!A2:A200="41-60 years",IF(data!B2:B200="30-70%",IF(data!C2:C200="Light (&lt;11%)",data!D2:D200,0),0),0))</f>
        <v>157.14117251269769</v>
      </c>
      <c r="D14" s="23">
        <f>C14/($K$20+$M$20)</f>
        <v>1.2758832892573711E-3</v>
      </c>
      <c r="E14" s="10">
        <f t="array" ref="E14">SUM(IF(data!A2:A200="41-60 years",IF(data!B2:B200="30-70%",IF(data!C2:C200="Moderate (11-30%)",data!D2:D200,0),0),0))</f>
        <v>293.94607018812644</v>
      </c>
      <c r="F14" s="23">
        <f>E14/($K$20+$M$20)</f>
        <v>2.386649360565258E-3</v>
      </c>
      <c r="G14" s="10">
        <f t="array" ref="G14">SUM(IF(data!A2:A200="41-60 years",IF(data!B2:B200="30-70%",IF(data!C2:C200="Severe (31-50%)",data!D2:D200,0),0),0))</f>
        <v>50.474915178174022</v>
      </c>
      <c r="H14" s="23">
        <f>G14/($K$20+$M$20)</f>
        <v>4.098232167467865E-4</v>
      </c>
      <c r="I14" s="10">
        <f t="array" ref="I14">SUM(IF(data!A2:A200="41-60 years",IF(data!B2:B200="30-70%",IF(data!C2:C200="Very Severe (&gt;50%)",data!D2:D200,0),0),0))</f>
        <v>249.20592133657431</v>
      </c>
      <c r="J14" s="23">
        <f>I14/($K$20+$M$20)</f>
        <v>2.0233886863204468E-3</v>
      </c>
      <c r="K14" s="11">
        <f>SUM(C14,E14,G14,I14)</f>
        <v>750.76807921557247</v>
      </c>
      <c r="L14" s="29">
        <f>K14/($K$20+$M$20)</f>
        <v>6.0957445528898625E-3</v>
      </c>
      <c r="M14" s="31">
        <f t="array" ref="M14">SUM(IF(data!A2:A200="41-60 years",IF(data!B2:B200="30-70%",IF(data!C2:C200="No Attack",data!D2:D200,0),0),0))</f>
        <v>985.45002518130264</v>
      </c>
      <c r="N14" s="25">
        <f>M14/($K$20+$M$20)</f>
        <v>8.0012080820224419E-3</v>
      </c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</row>
    <row r="15" spans="1:33" s="8" customFormat="1">
      <c r="A15" s="39"/>
      <c r="B15" s="9" t="s">
        <v>5</v>
      </c>
      <c r="C15" s="10">
        <f t="array" ref="C15">SUM(IF(data!A2:A200="41-60 years",IF(data!B2:B200="&gt;70%",IF(data!C2:C200="Light (&lt;11%)",data!D2:D200,0),0),0))</f>
        <v>265.702665150087</v>
      </c>
      <c r="D15" s="23">
        <f>C15/($K$20+$M$20)</f>
        <v>2.1573314297928491E-3</v>
      </c>
      <c r="E15" s="10">
        <f t="array" ref="E15">SUM(IF(data!A2:A200="41-60 years",IF(data!B2:B200="&gt;70%",IF(data!C2:C200="Moderate (11-30%)",data!D2:D200,0),0),0))</f>
        <v>163.17391184568169</v>
      </c>
      <c r="F15" s="23">
        <f>E15/($K$20+$M$20)</f>
        <v>1.3248651772013343E-3</v>
      </c>
      <c r="G15" s="10">
        <f t="array" ref="G15">SUM(IF(data!A2:A200="41-60 years",IF(data!B2:B200="&gt;70%",IF(data!C2:C200="Severe (31-50%)",data!D2:D200,0),0),0))</f>
        <v>129.94868298490272</v>
      </c>
      <c r="H15" s="23">
        <f>G15/($K$20+$M$20)</f>
        <v>1.0550981033824458E-3</v>
      </c>
      <c r="I15" s="10">
        <f t="array" ref="I15">SUM(IF(data!A2:A200="41-60 years",IF(data!B2:B200="&gt;70%",IF(data!C2:C200="Very Severe (&gt;50%)",data!D2:D200,0),0),0))</f>
        <v>244.02266667324761</v>
      </c>
      <c r="J15" s="23">
        <f>I15/($K$20+$M$20)</f>
        <v>1.9813040569190117E-3</v>
      </c>
      <c r="K15" s="11">
        <f>SUM(C15,E15,G15,I15)</f>
        <v>802.84792665391899</v>
      </c>
      <c r="L15" s="29">
        <f>K15/($K$20+$M$20)</f>
        <v>6.5185987672956407E-3</v>
      </c>
      <c r="M15" s="31">
        <f t="array" ref="M15">SUM(IF(data!A2:A200="41-60 years",IF(data!B2:B200="&gt;70%",IF(data!C2:C200="No Attack",data!D2:D200,0),0),0))</f>
        <v>579.8276287279283</v>
      </c>
      <c r="N15" s="25">
        <f>M15/($K$20+$M$20)</f>
        <v>4.7078201741425369E-3</v>
      </c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</row>
    <row r="16" spans="1:33" s="8" customFormat="1" ht="4.05" customHeight="1">
      <c r="A16" s="20"/>
      <c r="B16" s="18"/>
      <c r="C16" s="17"/>
      <c r="D16" s="18"/>
      <c r="E16" s="18"/>
      <c r="F16" s="18"/>
      <c r="G16" s="18"/>
      <c r="H16" s="18"/>
      <c r="I16" s="18"/>
      <c r="J16" s="18"/>
      <c r="K16" s="18"/>
      <c r="L16" s="18"/>
      <c r="M16" s="16"/>
      <c r="N16" s="19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</row>
    <row r="17" spans="1:33" s="8" customFormat="1">
      <c r="A17" s="38" t="s">
        <v>4</v>
      </c>
      <c r="B17" s="9" t="s">
        <v>11</v>
      </c>
      <c r="C17" s="10">
        <f t="array" ref="C17">SUM(IF(data!A2:A200="&gt;60 years",IF(data!B2:B200="30-70%",IF(data!C2:C200="Light (&lt;11%)",data!D2:D200,0),0),0))</f>
        <v>7005.9421317266697</v>
      </c>
      <c r="D17" s="23">
        <f>C17/($K$20+$M$20)</f>
        <v>5.6883656577348819E-2</v>
      </c>
      <c r="E17" s="10">
        <f t="array" ref="E17">SUM(IF(data!A2:A200="&gt;60 years",IF(data!B2:B200="30-70%",IF(data!C2:C200="Moderate (11-30%)",data!D2:D200,0),0),0))</f>
        <v>9337.9735503471784</v>
      </c>
      <c r="F17" s="23">
        <f>E17/($K$20+$M$20)</f>
        <v>7.5818222671417149E-2</v>
      </c>
      <c r="G17" s="10">
        <f t="array" ref="G17">SUM(IF(data!A2:A200="&gt;60 years",IF(data!B2:B200="30-70%",IF(data!C2:C200="Severe (31-50%)",data!D2:D200,0),0),0))</f>
        <v>9244.0620936798423</v>
      </c>
      <c r="H17" s="23">
        <f>G17/($K$20+$M$20)</f>
        <v>7.5055723217481926E-2</v>
      </c>
      <c r="I17" s="10">
        <f t="array" ref="I17">SUM(IF(data!A2:A200="&gt;60 years",IF(data!B2:B200="30-70%",IF(data!C2:C200="Very Severe (&gt;50%)",data!D2:D200,0),0),0))</f>
        <v>25922.060529220391</v>
      </c>
      <c r="J17" s="23">
        <f>I17/($K$20+$M$20)</f>
        <v>0.21047013537892431</v>
      </c>
      <c r="K17" s="11">
        <f>SUM(C17,E17,G17,I17)</f>
        <v>51510.038304974078</v>
      </c>
      <c r="L17" s="29">
        <f>K17/($K$20+$M$20)</f>
        <v>0.4182277378451722</v>
      </c>
      <c r="M17" s="31">
        <f t="array" ref="M17">SUM(IF(data!A2:A200="&gt;60 years",IF(data!B2:B200="30-70%",IF(data!C2:C200="No Attack",data!D2:D200,0),0),0))</f>
        <v>22092.594985980246</v>
      </c>
      <c r="N17" s="25">
        <f>M17/($K$20+$M$20)</f>
        <v>0.17937738600407668</v>
      </c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</row>
    <row r="18" spans="1:33" s="8" customFormat="1">
      <c r="A18" s="39"/>
      <c r="B18" s="9" t="s">
        <v>5</v>
      </c>
      <c r="C18" s="10">
        <f t="array" ref="C18">SUM(IF(data!A2:A200="&gt;60 years",IF(data!B2:B200="&gt;70%",IF(data!C2:C200="Light (&lt;11%)",data!D2:D200,0),0),0))</f>
        <v>3027.1148912405802</v>
      </c>
      <c r="D18" s="23">
        <f>C18/($K$20+$M$20)</f>
        <v>2.4578188151701073E-2</v>
      </c>
      <c r="E18" s="10">
        <f t="array" ref="E18">SUM(IF(data!A2:A200="&gt;60 years",IF(data!B2:B200="&gt;70%",IF(data!C2:C200="Moderate (11-30%)",data!D2:D200,0),0),0))</f>
        <v>4032.2236737745561</v>
      </c>
      <c r="F18" s="23">
        <f>E18/($K$20+$M$20)</f>
        <v>3.2739012453920767E-2</v>
      </c>
      <c r="G18" s="10">
        <f t="array" ref="G18">SUM(IF(data!A2:A200="&gt;60 years",IF(data!B2:B200="&gt;70%",IF(data!C2:C200="Severe (31-50%)",data!D2:D200,0),0),0))</f>
        <v>5374.3111789583072</v>
      </c>
      <c r="H18" s="23">
        <f>G18/($K$20+$M$20)</f>
        <v>4.3635883039805562E-2</v>
      </c>
      <c r="I18" s="10">
        <f t="array" ref="I18">SUM(IF(data!A2:A200="&gt;60 years",IF(data!B2:B200="&gt;70%",IF(data!C2:C200="Very Severe (&gt;50%)",data!D2:D200,0),0),0))</f>
        <v>19799.152637592211</v>
      </c>
      <c r="J18" s="23">
        <f>I18/($K$20+$M$20)</f>
        <v>0.16075613785889675</v>
      </c>
      <c r="K18" s="11">
        <f>SUM(C18,E18,G18,I18)</f>
        <v>32232.802381565656</v>
      </c>
      <c r="L18" s="29">
        <f>K18/($K$20+$M$20)</f>
        <v>0.26170922150432413</v>
      </c>
      <c r="M18" s="31">
        <f t="array" ref="M18">SUM(IF(data!A2:A200="&gt;60 years",IF(data!B2:B200="&gt;70%",IF(data!C2:C200="No Attack",data!D2:D200,0),0),0))</f>
        <v>7360.6210229707631</v>
      </c>
      <c r="N18" s="25">
        <f>M18/($K$20+$M$20)</f>
        <v>5.976341662466618E-2</v>
      </c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</row>
    <row r="19" spans="1:33" s="8" customFormat="1" ht="4.05" customHeight="1">
      <c r="A19" s="20"/>
      <c r="B19" s="18"/>
      <c r="C19" s="17"/>
      <c r="D19" s="18"/>
      <c r="E19" s="18"/>
      <c r="F19" s="18"/>
      <c r="G19" s="18"/>
      <c r="H19" s="18"/>
      <c r="I19" s="18"/>
      <c r="J19" s="18"/>
      <c r="K19" s="18"/>
      <c r="L19" s="18"/>
      <c r="M19" s="16"/>
      <c r="N19" s="19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</row>
    <row r="20" spans="1:33" ht="15" thickBot="1">
      <c r="A20" s="21" t="s">
        <v>20</v>
      </c>
      <c r="B20" s="22"/>
      <c r="C20" s="27">
        <f>SUM(C11:C18)</f>
        <v>11675.692645916393</v>
      </c>
      <c r="D20" s="26">
        <f>C20/($K$20+$M$20)</f>
        <v>9.4798968973113518E-2</v>
      </c>
      <c r="E20" s="27">
        <f>SUM(E11:E18)</f>
        <v>15000.172075516162</v>
      </c>
      <c r="F20" s="26">
        <f>E20/($K$20+$M$20)</f>
        <v>0.1217915622055681</v>
      </c>
      <c r="G20" s="27">
        <f>SUM(G11:G18)</f>
        <v>15119.602868385065</v>
      </c>
      <c r="H20" s="26">
        <f>G20/($K$20+$M$20)</f>
        <v>0.12276126193739285</v>
      </c>
      <c r="I20" s="27">
        <f>SUM(I11:I18)</f>
        <v>46814.11182427832</v>
      </c>
      <c r="J20" s="26">
        <f>I20/($K$20+$M$20)</f>
        <v>0.38009989376397341</v>
      </c>
      <c r="K20" s="27">
        <f>SUM(K11:K18)</f>
        <v>88609.579414095933</v>
      </c>
      <c r="L20" s="30">
        <f>SUM(L11:L18)</f>
        <v>0.71945168688004779</v>
      </c>
      <c r="M20" s="32">
        <f>SUM(M11:M18)</f>
        <v>34553.074910001247</v>
      </c>
      <c r="N20" s="24">
        <f>SUM(N11:N18)</f>
        <v>0.28054831311995215</v>
      </c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</row>
    <row r="21" spans="1:3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</row>
    <row r="22" spans="1:3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</row>
    <row r="23" spans="1:3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</row>
    <row r="24" spans="1:3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</row>
    <row r="25" spans="1:3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</row>
    <row r="26" spans="1:3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</row>
    <row r="27" spans="1:3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</row>
    <row r="28" spans="1:3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</row>
    <row r="29" spans="1:3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</row>
    <row r="30" spans="1:3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</row>
    <row r="31" spans="1:3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</row>
    <row r="32" spans="1:3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</row>
    <row r="33" spans="1:3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</row>
    <row r="34" spans="1:3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</row>
    <row r="35" spans="1:3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</row>
    <row r="36" spans="1:3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</row>
    <row r="37" spans="1:3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</row>
    <row r="38" spans="1:3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</row>
    <row r="39" spans="1:3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</row>
    <row r="40" spans="1:3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</row>
    <row r="41" spans="1:3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</row>
    <row r="42" spans="1:3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</row>
    <row r="43" spans="1:3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</row>
    <row r="44" spans="1:3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</row>
    <row r="45" spans="1:3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</row>
    <row r="46" spans="1:3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</row>
    <row r="47" spans="1:3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</row>
    <row r="48" spans="1:3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</row>
    <row r="49" spans="1:3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</row>
    <row r="50" spans="1:3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</row>
    <row r="51" spans="1:3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</row>
    <row r="52" spans="1:3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</row>
    <row r="53" spans="1:3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</row>
    <row r="54" spans="1:3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</row>
    <row r="55" spans="1:3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</row>
    <row r="56" spans="1:3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</row>
    <row r="57" spans="1:3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</row>
    <row r="58" spans="1:3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</row>
    <row r="59" spans="1:3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</row>
    <row r="60" spans="1:3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</row>
    <row r="61" spans="1:3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</row>
    <row r="62" spans="1:3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</row>
    <row r="63" spans="1:3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</row>
    <row r="64" spans="1:3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</row>
    <row r="65" spans="1:3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</row>
    <row r="66" spans="1:3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</row>
    <row r="67" spans="1:3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</row>
    <row r="68" spans="1:3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</row>
    <row r="69" spans="1:3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</row>
    <row r="70" spans="1:3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</row>
    <row r="71" spans="1:3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</row>
    <row r="72" spans="1:3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</row>
    <row r="73" spans="1:3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</row>
    <row r="74" spans="1:3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</row>
    <row r="75" spans="1:3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</row>
    <row r="76" spans="1:3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</row>
    <row r="77" spans="1:3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</row>
    <row r="78" spans="1:3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</row>
    <row r="79" spans="1:3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</row>
    <row r="80" spans="1:3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</row>
    <row r="81" spans="1:3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</row>
    <row r="82" spans="1:3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</row>
    <row r="83" spans="1:3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</row>
    <row r="84" spans="1:3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</row>
    <row r="85" spans="1:3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</row>
    <row r="86" spans="1:3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</row>
    <row r="87" spans="1:3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</row>
    <row r="88" spans="1:3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</row>
    <row r="89" spans="1:3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</row>
    <row r="90" spans="1:3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</row>
    <row r="91" spans="1:3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</row>
    <row r="92" spans="1:3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</row>
    <row r="93" spans="1:3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</row>
    <row r="94" spans="1:3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</row>
    <row r="95" spans="1:3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</row>
    <row r="96" spans="1:3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</row>
    <row r="97" spans="1:3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</row>
    <row r="98" spans="1:3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</row>
    <row r="99" spans="1:3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</row>
    <row r="100" spans="1:3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</row>
    <row r="101" spans="1:3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</row>
    <row r="102" spans="1:3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</row>
    <row r="103" spans="1:3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</row>
    <row r="104" spans="1:3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</row>
    <row r="105" spans="1:3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</row>
    <row r="106" spans="1:3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</row>
    <row r="107" spans="1:3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</row>
    <row r="108" spans="1:3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</row>
    <row r="109" spans="1:3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</row>
    <row r="110" spans="1:3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</row>
    <row r="111" spans="1:3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</row>
    <row r="112" spans="1:3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</row>
    <row r="113" spans="1:3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</row>
    <row r="114" spans="1:3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</row>
    <row r="115" spans="1:3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</row>
    <row r="116" spans="1:3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</row>
    <row r="117" spans="1:3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</row>
    <row r="118" spans="1:3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</row>
    <row r="119" spans="1:3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</row>
    <row r="120" spans="1:3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</row>
    <row r="121" spans="1:3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</row>
    <row r="122" spans="1:3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</row>
    <row r="123" spans="1:3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</row>
    <row r="124" spans="1:3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</row>
    <row r="125" spans="1:3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</row>
    <row r="126" spans="1:3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</row>
    <row r="127" spans="1:3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</row>
    <row r="128" spans="1:3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</row>
    <row r="129" spans="1:3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</row>
    <row r="130" spans="1:3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</row>
    <row r="131" spans="1:3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</row>
    <row r="132" spans="1:3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</row>
    <row r="133" spans="1:3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</row>
    <row r="134" spans="1:3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</row>
    <row r="135" spans="1:3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</row>
    <row r="136" spans="1:3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</row>
    <row r="137" spans="1:3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</row>
    <row r="138" spans="1:3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</row>
    <row r="139" spans="1:3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</row>
    <row r="140" spans="1:3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</row>
    <row r="141" spans="1:3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</row>
    <row r="142" spans="1:3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</row>
    <row r="143" spans="1:3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</row>
    <row r="144" spans="1:3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</row>
    <row r="145" spans="1:3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</row>
    <row r="146" spans="1:3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</row>
    <row r="147" spans="1:3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</row>
    <row r="148" spans="1:3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</row>
    <row r="149" spans="1:3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</row>
    <row r="150" spans="1:3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</row>
    <row r="151" spans="1:3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</row>
    <row r="152" spans="1:3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</row>
    <row r="153" spans="1:3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</row>
    <row r="154" spans="1:3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</row>
    <row r="155" spans="1:3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</row>
    <row r="156" spans="1:3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</row>
    <row r="157" spans="1:3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</row>
    <row r="158" spans="1:3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</row>
    <row r="159" spans="1:3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</row>
    <row r="160" spans="1:3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</row>
    <row r="161" spans="1:3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</row>
    <row r="162" spans="1:3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</row>
    <row r="163" spans="1:3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</row>
    <row r="164" spans="1:3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</row>
    <row r="165" spans="1:3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</row>
    <row r="166" spans="1:3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</row>
    <row r="167" spans="1:3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</row>
    <row r="168" spans="1:3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</row>
    <row r="169" spans="1:3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</row>
    <row r="170" spans="1:3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</row>
    <row r="171" spans="1:3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</row>
    <row r="172" spans="1:3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</row>
    <row r="173" spans="1:3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</row>
    <row r="174" spans="1:3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</row>
    <row r="175" spans="1:3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</row>
    <row r="176" spans="1:3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</row>
    <row r="177" spans="1:3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</row>
    <row r="178" spans="1:3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</row>
    <row r="179" spans="1:3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</row>
    <row r="180" spans="1:3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</row>
    <row r="181" spans="1:3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</row>
    <row r="182" spans="1:3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</row>
    <row r="183" spans="1:3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</row>
    <row r="184" spans="1:3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</row>
    <row r="185" spans="1:3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</row>
    <row r="186" spans="1:3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</row>
    <row r="187" spans="1:3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</row>
    <row r="188" spans="1:3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</row>
    <row r="189" spans="1:3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</row>
    <row r="190" spans="1:3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</row>
    <row r="191" spans="1:3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</row>
    <row r="192" spans="1:3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</row>
    <row r="193" spans="1:3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</row>
    <row r="194" spans="1:3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</row>
    <row r="195" spans="1:3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</row>
    <row r="196" spans="1:3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</row>
    <row r="197" spans="1:3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</row>
    <row r="198" spans="1:3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</row>
    <row r="199" spans="1:3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</row>
    <row r="200" spans="1:3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</row>
    <row r="201" spans="1:3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</row>
    <row r="202" spans="1:3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</row>
    <row r="203" spans="1:3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</row>
    <row r="204" spans="1:3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</row>
    <row r="205" spans="1:3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</row>
    <row r="206" spans="1:3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</row>
    <row r="207" spans="1:3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</row>
    <row r="208" spans="1:3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</row>
    <row r="209" spans="1:3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</row>
    <row r="210" spans="1:3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</row>
    <row r="211" spans="1:3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</row>
    <row r="212" spans="1:3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</row>
    <row r="213" spans="1:3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</row>
    <row r="214" spans="1:3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</row>
    <row r="215" spans="1:3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</row>
    <row r="216" spans="1:3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</row>
    <row r="217" spans="1:3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</row>
    <row r="218" spans="1:3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</row>
    <row r="219" spans="1:3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</row>
    <row r="220" spans="1:3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</row>
    <row r="221" spans="1:3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</row>
    <row r="222" spans="1:3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</row>
    <row r="223" spans="1:3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</row>
    <row r="224" spans="1:3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</row>
    <row r="225" spans="1:3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</row>
    <row r="226" spans="1:3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</row>
    <row r="227" spans="1:3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</row>
    <row r="228" spans="1:3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</row>
    <row r="229" spans="1:3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</row>
    <row r="230" spans="1:3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</row>
    <row r="231" spans="1:3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</row>
    <row r="232" spans="1:3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</row>
    <row r="233" spans="1:3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</row>
    <row r="234" spans="1:3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</row>
    <row r="235" spans="1:3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</row>
    <row r="236" spans="1:3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</row>
    <row r="237" spans="1:3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</row>
    <row r="238" spans="1:3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</row>
    <row r="239" spans="1:3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</row>
    <row r="240" spans="1:3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</row>
    <row r="241" spans="1:3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</row>
    <row r="242" spans="1:3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</row>
    <row r="243" spans="1:3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</row>
    <row r="244" spans="1:3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</row>
    <row r="245" spans="1:3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</row>
    <row r="246" spans="1:3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</row>
    <row r="247" spans="1:3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</row>
    <row r="248" spans="1:3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</row>
    <row r="249" spans="1:3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</row>
    <row r="250" spans="1:3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</row>
    <row r="251" spans="1:3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</row>
    <row r="252" spans="1:3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</row>
    <row r="253" spans="1:3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</row>
    <row r="254" spans="1:3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</row>
    <row r="255" spans="1:3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</row>
    <row r="256" spans="1:3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</row>
    <row r="257" spans="1:3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</row>
    <row r="258" spans="1:3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</row>
    <row r="259" spans="1:3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</row>
    <row r="260" spans="1:3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</row>
    <row r="261" spans="1:3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</row>
    <row r="262" spans="1:3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</row>
    <row r="263" spans="1:3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</row>
    <row r="264" spans="1:3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</row>
    <row r="265" spans="1:3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</row>
    <row r="266" spans="1:3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</row>
    <row r="267" spans="1:3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</row>
    <row r="268" spans="1:3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</row>
    <row r="269" spans="1:3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</row>
    <row r="270" spans="1:3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</row>
    <row r="271" spans="1:3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</row>
    <row r="272" spans="1:3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</row>
    <row r="273" spans="1:3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</row>
    <row r="274" spans="1:3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</row>
    <row r="275" spans="1:3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</row>
    <row r="276" spans="1:3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</row>
    <row r="277" spans="1:3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</row>
    <row r="278" spans="1:3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</row>
    <row r="279" spans="1:3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</row>
    <row r="280" spans="1:3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</row>
    <row r="281" spans="1:3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</row>
    <row r="282" spans="1:3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</row>
    <row r="283" spans="1:3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</row>
    <row r="284" spans="1:3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</row>
    <row r="285" spans="1:3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</row>
    <row r="286" spans="1:3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</row>
    <row r="287" spans="1:3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</row>
    <row r="288" spans="1:3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</row>
    <row r="289" spans="1:3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</row>
    <row r="290" spans="1:3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</row>
    <row r="291" spans="1:3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</row>
    <row r="292" spans="1:3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</row>
    <row r="293" spans="1:3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</row>
    <row r="294" spans="1:3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</row>
    <row r="295" spans="1:3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</row>
    <row r="296" spans="1:3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</row>
    <row r="297" spans="1:3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</row>
    <row r="298" spans="1:3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</row>
    <row r="299" spans="1:3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</row>
    <row r="300" spans="1:3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</row>
    <row r="301" spans="1:33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</row>
    <row r="302" spans="1:33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</row>
    <row r="303" spans="1:3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</row>
    <row r="304" spans="1:33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</row>
    <row r="305" spans="1:33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</row>
    <row r="306" spans="1:3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</row>
    <row r="307" spans="1:33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</row>
    <row r="308" spans="1:33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</row>
    <row r="309" spans="1:33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</row>
    <row r="310" spans="1:33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</row>
    <row r="311" spans="1:33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</row>
    <row r="312" spans="1:33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</row>
    <row r="313" spans="1:3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</row>
    <row r="314" spans="1:33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</row>
    <row r="315" spans="1:33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</row>
    <row r="316" spans="1:33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</row>
    <row r="317" spans="1:33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</row>
    <row r="318" spans="1:33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</row>
    <row r="319" spans="1:3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</row>
    <row r="320" spans="1:33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</row>
    <row r="321" spans="1:33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</row>
    <row r="322" spans="1:33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</row>
    <row r="323" spans="1:3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</row>
    <row r="324" spans="1:33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</row>
    <row r="325" spans="1:33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</row>
    <row r="326" spans="1:33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</row>
    <row r="327" spans="1:33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</row>
    <row r="328" spans="1:33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</row>
    <row r="329" spans="1:33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</row>
    <row r="330" spans="1:33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</row>
    <row r="331" spans="1:33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</row>
    <row r="332" spans="1:33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</row>
    <row r="333" spans="1:3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</row>
    <row r="334" spans="1:33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</row>
    <row r="335" spans="1:33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</row>
    <row r="336" spans="1:33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</row>
    <row r="337" spans="1:33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</row>
    <row r="338" spans="1:33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</row>
    <row r="339" spans="1:33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</row>
    <row r="340" spans="1:33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</row>
    <row r="341" spans="1:33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</row>
    <row r="342" spans="1:33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</row>
    <row r="343" spans="1:3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</row>
    <row r="344" spans="1:3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</row>
    <row r="345" spans="1:33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</row>
    <row r="346" spans="1:33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</row>
    <row r="347" spans="1:33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</row>
    <row r="348" spans="1:33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</row>
    <row r="349" spans="1:33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</row>
    <row r="350" spans="1:33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</row>
    <row r="351" spans="1:33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</row>
    <row r="352" spans="1:33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</row>
    <row r="353" spans="1:3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</row>
    <row r="354" spans="1:33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</row>
    <row r="355" spans="1:33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</row>
    <row r="356" spans="1:33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</row>
  </sheetData>
  <mergeCells count="12">
    <mergeCell ref="A8:L8"/>
    <mergeCell ref="M8:N8"/>
    <mergeCell ref="A9:B9"/>
    <mergeCell ref="A11:A12"/>
    <mergeCell ref="A14:A15"/>
    <mergeCell ref="K9:L9"/>
    <mergeCell ref="M9:N9"/>
    <mergeCell ref="A17:A18"/>
    <mergeCell ref="C9:D9"/>
    <mergeCell ref="E9:F9"/>
    <mergeCell ref="G9:H9"/>
    <mergeCell ref="I9:J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23"/>
  <sheetViews>
    <sheetView topLeftCell="A100" workbookViewId="0">
      <selection sqref="A1:D102"/>
    </sheetView>
  </sheetViews>
  <sheetFormatPr defaultColWidth="16.33203125" defaultRowHeight="14.4"/>
  <sheetData>
    <row r="1" spans="1:4">
      <c r="A1" s="54" t="s">
        <v>0</v>
      </c>
      <c r="B1" s="54" t="s">
        <v>1</v>
      </c>
      <c r="C1" s="54" t="s">
        <v>2</v>
      </c>
      <c r="D1" s="54" t="s">
        <v>3</v>
      </c>
    </row>
    <row r="2" spans="1:4">
      <c r="A2" s="55" t="s">
        <v>21</v>
      </c>
      <c r="B2" s="55" t="s">
        <v>5</v>
      </c>
      <c r="C2" s="55" t="s">
        <v>6</v>
      </c>
      <c r="D2" s="56">
        <v>61.622131736128964</v>
      </c>
    </row>
    <row r="3" spans="1:4">
      <c r="A3" s="55" t="s">
        <v>21</v>
      </c>
      <c r="B3" s="55" t="s">
        <v>5</v>
      </c>
      <c r="C3" s="55" t="s">
        <v>6</v>
      </c>
      <c r="D3" s="56">
        <v>308.31167560844779</v>
      </c>
    </row>
    <row r="4" spans="1:4" ht="28.8">
      <c r="A4" s="55" t="s">
        <v>21</v>
      </c>
      <c r="B4" s="55" t="s">
        <v>5</v>
      </c>
      <c r="C4" s="55" t="s">
        <v>7</v>
      </c>
      <c r="D4" s="56">
        <v>31.562090548481354</v>
      </c>
    </row>
    <row r="5" spans="1:4" ht="28.8">
      <c r="A5" s="55" t="s">
        <v>21</v>
      </c>
      <c r="B5" s="55" t="s">
        <v>5</v>
      </c>
      <c r="C5" s="55" t="s">
        <v>7</v>
      </c>
      <c r="D5" s="56">
        <v>222.89181603715596</v>
      </c>
    </row>
    <row r="6" spans="1:4">
      <c r="A6" s="55" t="s">
        <v>21</v>
      </c>
      <c r="B6" s="55" t="s">
        <v>5</v>
      </c>
      <c r="C6" s="55" t="s">
        <v>8</v>
      </c>
      <c r="D6" s="56">
        <v>455.74759298226485</v>
      </c>
    </row>
    <row r="7" spans="1:4">
      <c r="A7" s="55" t="s">
        <v>21</v>
      </c>
      <c r="B7" s="55" t="s">
        <v>5</v>
      </c>
      <c r="C7" s="55" t="s">
        <v>8</v>
      </c>
      <c r="D7" s="56">
        <v>3.8347189510376585</v>
      </c>
    </row>
    <row r="8" spans="1:4">
      <c r="A8" s="55" t="s">
        <v>21</v>
      </c>
      <c r="B8" s="55" t="s">
        <v>5</v>
      </c>
      <c r="C8" s="55" t="s">
        <v>8</v>
      </c>
      <c r="D8" s="56">
        <v>85.850750129538369</v>
      </c>
    </row>
    <row r="9" spans="1:4">
      <c r="A9" s="55" t="s">
        <v>21</v>
      </c>
      <c r="B9" s="55" t="s">
        <v>5</v>
      </c>
      <c r="C9" s="55" t="s">
        <v>9</v>
      </c>
      <c r="D9" s="56">
        <v>39.715006111806936</v>
      </c>
    </row>
    <row r="10" spans="1:4">
      <c r="A10" s="55" t="s">
        <v>21</v>
      </c>
      <c r="B10" s="55" t="s">
        <v>5</v>
      </c>
      <c r="C10" s="55" t="s">
        <v>9</v>
      </c>
      <c r="D10" s="56">
        <v>23.016464138991392</v>
      </c>
    </row>
    <row r="11" spans="1:4" ht="28.8">
      <c r="A11" s="55" t="s">
        <v>21</v>
      </c>
      <c r="B11" s="55" t="s">
        <v>5</v>
      </c>
      <c r="C11" s="55" t="s">
        <v>10</v>
      </c>
      <c r="D11" s="56">
        <v>1.0553354586670758</v>
      </c>
    </row>
    <row r="12" spans="1:4" ht="28.8">
      <c r="A12" s="55" t="s">
        <v>21</v>
      </c>
      <c r="B12" s="55" t="s">
        <v>5</v>
      </c>
      <c r="C12" s="55" t="s">
        <v>10</v>
      </c>
      <c r="D12" s="56">
        <v>54.026750617898507</v>
      </c>
    </row>
    <row r="13" spans="1:4">
      <c r="A13" s="55" t="s">
        <v>21</v>
      </c>
      <c r="B13" s="55" t="s">
        <v>11</v>
      </c>
      <c r="C13" s="55" t="s">
        <v>6</v>
      </c>
      <c r="D13" s="56">
        <v>124.25938409286012</v>
      </c>
    </row>
    <row r="14" spans="1:4">
      <c r="A14" s="55" t="s">
        <v>21</v>
      </c>
      <c r="B14" s="55" t="s">
        <v>11</v>
      </c>
      <c r="C14" s="55" t="s">
        <v>6</v>
      </c>
      <c r="D14" s="56">
        <v>699.65708308986245</v>
      </c>
    </row>
    <row r="15" spans="1:4" ht="28.8">
      <c r="A15" s="55" t="s">
        <v>21</v>
      </c>
      <c r="B15" s="55" t="s">
        <v>11</v>
      </c>
      <c r="C15" s="55" t="s">
        <v>7</v>
      </c>
      <c r="D15" s="56">
        <v>134.13598455819832</v>
      </c>
    </row>
    <row r="16" spans="1:4" ht="28.8">
      <c r="A16" s="55" t="s">
        <v>21</v>
      </c>
      <c r="B16" s="55" t="s">
        <v>11</v>
      </c>
      <c r="C16" s="55" t="s">
        <v>7</v>
      </c>
      <c r="D16" s="56">
        <v>651.09115029711359</v>
      </c>
    </row>
    <row r="17" spans="1:4">
      <c r="A17" s="55" t="s">
        <v>21</v>
      </c>
      <c r="B17" s="55" t="s">
        <v>11</v>
      </c>
      <c r="C17" s="55" t="s">
        <v>8</v>
      </c>
      <c r="D17" s="56">
        <v>2519.7217277554505</v>
      </c>
    </row>
    <row r="18" spans="1:4">
      <c r="A18" s="55" t="s">
        <v>21</v>
      </c>
      <c r="B18" s="55" t="s">
        <v>11</v>
      </c>
      <c r="C18" s="55" t="s">
        <v>8</v>
      </c>
      <c r="D18" s="56">
        <v>34.563258142888095</v>
      </c>
    </row>
    <row r="19" spans="1:4">
      <c r="A19" s="55" t="s">
        <v>21</v>
      </c>
      <c r="B19" s="55" t="s">
        <v>11</v>
      </c>
      <c r="C19" s="55" t="s">
        <v>8</v>
      </c>
      <c r="D19" s="56">
        <v>157.26754844797799</v>
      </c>
    </row>
    <row r="20" spans="1:4">
      <c r="A20" s="55" t="s">
        <v>21</v>
      </c>
      <c r="B20" s="55" t="s">
        <v>11</v>
      </c>
      <c r="C20" s="55" t="s">
        <v>9</v>
      </c>
      <c r="D20" s="56">
        <v>48.275549641821762</v>
      </c>
    </row>
    <row r="21" spans="1:4">
      <c r="A21" s="55" t="s">
        <v>21</v>
      </c>
      <c r="B21" s="55" t="s">
        <v>11</v>
      </c>
      <c r="C21" s="55" t="s">
        <v>9</v>
      </c>
      <c r="D21" s="56">
        <v>139.31512745989275</v>
      </c>
    </row>
    <row r="22" spans="1:4" ht="28.8">
      <c r="A22" s="55" t="s">
        <v>21</v>
      </c>
      <c r="B22" s="55" t="s">
        <v>11</v>
      </c>
      <c r="C22" s="55" t="s">
        <v>10</v>
      </c>
      <c r="D22" s="56">
        <v>63.271637188461092</v>
      </c>
    </row>
    <row r="23" spans="1:4" ht="28.8">
      <c r="A23" s="55" t="s">
        <v>21</v>
      </c>
      <c r="B23" s="55" t="s">
        <v>11</v>
      </c>
      <c r="C23" s="55" t="s">
        <v>10</v>
      </c>
      <c r="D23" s="56">
        <v>208.12508982912502</v>
      </c>
    </row>
    <row r="24" spans="1:4">
      <c r="A24" s="55" t="s">
        <v>4</v>
      </c>
      <c r="B24" s="55" t="s">
        <v>5</v>
      </c>
      <c r="C24" s="55" t="s">
        <v>6</v>
      </c>
      <c r="D24" s="56">
        <v>511.15857451020037</v>
      </c>
    </row>
    <row r="25" spans="1:4">
      <c r="A25" s="55" t="s">
        <v>4</v>
      </c>
      <c r="B25" s="55" t="s">
        <v>5</v>
      </c>
      <c r="C25" s="55" t="s">
        <v>6</v>
      </c>
      <c r="D25" s="56">
        <v>2156.987008193049</v>
      </c>
    </row>
    <row r="26" spans="1:4">
      <c r="A26" s="55" t="s">
        <v>4</v>
      </c>
      <c r="B26" s="55" t="s">
        <v>5</v>
      </c>
      <c r="C26" s="55" t="s">
        <v>6</v>
      </c>
      <c r="D26" s="56">
        <v>358.96930853733113</v>
      </c>
    </row>
    <row r="27" spans="1:4" ht="28.8">
      <c r="A27" s="55" t="s">
        <v>4</v>
      </c>
      <c r="B27" s="55" t="s">
        <v>5</v>
      </c>
      <c r="C27" s="55" t="s">
        <v>7</v>
      </c>
      <c r="D27" s="56">
        <v>1117.0680402793707</v>
      </c>
    </row>
    <row r="28" spans="1:4" ht="28.8">
      <c r="A28" s="55" t="s">
        <v>4</v>
      </c>
      <c r="B28" s="55" t="s">
        <v>5</v>
      </c>
      <c r="C28" s="55" t="s">
        <v>7</v>
      </c>
      <c r="D28" s="56">
        <v>2411.8579200556255</v>
      </c>
    </row>
    <row r="29" spans="1:4" ht="28.8">
      <c r="A29" s="55" t="s">
        <v>4</v>
      </c>
      <c r="B29" s="55" t="s">
        <v>5</v>
      </c>
      <c r="C29" s="55" t="s">
        <v>7</v>
      </c>
      <c r="D29" s="56">
        <v>503.2977134395594</v>
      </c>
    </row>
    <row r="30" spans="1:4">
      <c r="A30" s="55" t="s">
        <v>4</v>
      </c>
      <c r="B30" s="55" t="s">
        <v>5</v>
      </c>
      <c r="C30" s="55" t="s">
        <v>8</v>
      </c>
      <c r="D30" s="56">
        <v>6993.4464608191329</v>
      </c>
    </row>
    <row r="31" spans="1:4">
      <c r="A31" s="55" t="s">
        <v>4</v>
      </c>
      <c r="B31" s="55" t="s">
        <v>5</v>
      </c>
      <c r="C31" s="55" t="s">
        <v>8</v>
      </c>
      <c r="D31" s="56">
        <v>66.423121419735168</v>
      </c>
    </row>
    <row r="32" spans="1:4">
      <c r="A32" s="55" t="s">
        <v>4</v>
      </c>
      <c r="B32" s="55" t="s">
        <v>5</v>
      </c>
      <c r="C32" s="55" t="s">
        <v>8</v>
      </c>
      <c r="D32" s="56">
        <v>292.36440709986516</v>
      </c>
    </row>
    <row r="33" spans="1:4">
      <c r="A33" s="55" t="s">
        <v>4</v>
      </c>
      <c r="B33" s="55" t="s">
        <v>5</v>
      </c>
      <c r="C33" s="55" t="s">
        <v>8</v>
      </c>
      <c r="D33" s="56">
        <v>8.3870336320292864</v>
      </c>
    </row>
    <row r="34" spans="1:4">
      <c r="A34" s="55" t="s">
        <v>4</v>
      </c>
      <c r="B34" s="55" t="s">
        <v>5</v>
      </c>
      <c r="C34" s="55" t="s">
        <v>9</v>
      </c>
      <c r="D34" s="56">
        <v>2406.5406638936856</v>
      </c>
    </row>
    <row r="35" spans="1:4">
      <c r="A35" s="55" t="s">
        <v>4</v>
      </c>
      <c r="B35" s="55" t="s">
        <v>5</v>
      </c>
      <c r="C35" s="55" t="s">
        <v>9</v>
      </c>
      <c r="D35" s="56">
        <v>2195.6203391026474</v>
      </c>
    </row>
    <row r="36" spans="1:4">
      <c r="A36" s="55" t="s">
        <v>4</v>
      </c>
      <c r="B36" s="55" t="s">
        <v>5</v>
      </c>
      <c r="C36" s="55" t="s">
        <v>9</v>
      </c>
      <c r="D36" s="56">
        <v>772.15017596197458</v>
      </c>
    </row>
    <row r="37" spans="1:4" ht="28.8">
      <c r="A37" s="55" t="s">
        <v>4</v>
      </c>
      <c r="B37" s="55" t="s">
        <v>5</v>
      </c>
      <c r="C37" s="55" t="s">
        <v>10</v>
      </c>
      <c r="D37" s="56">
        <v>7592.7305486585465</v>
      </c>
    </row>
    <row r="38" spans="1:4" ht="28.8">
      <c r="A38" s="55" t="s">
        <v>4</v>
      </c>
      <c r="B38" s="55" t="s">
        <v>5</v>
      </c>
      <c r="C38" s="55" t="s">
        <v>10</v>
      </c>
      <c r="D38" s="56">
        <v>10414.564050328199</v>
      </c>
    </row>
    <row r="39" spans="1:4" ht="28.8">
      <c r="A39" s="55" t="s">
        <v>4</v>
      </c>
      <c r="B39" s="55" t="s">
        <v>5</v>
      </c>
      <c r="C39" s="55" t="s">
        <v>10</v>
      </c>
      <c r="D39" s="56">
        <v>1791.8580386054673</v>
      </c>
    </row>
    <row r="40" spans="1:4">
      <c r="A40" s="55" t="s">
        <v>4</v>
      </c>
      <c r="B40" s="55" t="s">
        <v>11</v>
      </c>
      <c r="C40" s="55" t="s">
        <v>6</v>
      </c>
      <c r="D40" s="56">
        <v>1971.7804771355895</v>
      </c>
    </row>
    <row r="41" spans="1:4">
      <c r="A41" s="55" t="s">
        <v>4</v>
      </c>
      <c r="B41" s="55" t="s">
        <v>11</v>
      </c>
      <c r="C41" s="55" t="s">
        <v>6</v>
      </c>
      <c r="D41" s="56">
        <v>4665.0258851386316</v>
      </c>
    </row>
    <row r="42" spans="1:4">
      <c r="A42" s="55" t="s">
        <v>4</v>
      </c>
      <c r="B42" s="55" t="s">
        <v>11</v>
      </c>
      <c r="C42" s="55" t="s">
        <v>6</v>
      </c>
      <c r="D42" s="56">
        <v>369.13576945244853</v>
      </c>
    </row>
    <row r="43" spans="1:4" ht="28.8">
      <c r="A43" s="55" t="s">
        <v>4</v>
      </c>
      <c r="B43" s="55" t="s">
        <v>11</v>
      </c>
      <c r="C43" s="55" t="s">
        <v>7</v>
      </c>
      <c r="D43" s="56">
        <v>2902.2205853662808</v>
      </c>
    </row>
    <row r="44" spans="1:4" ht="28.8">
      <c r="A44" s="55" t="s">
        <v>4</v>
      </c>
      <c r="B44" s="55" t="s">
        <v>11</v>
      </c>
      <c r="C44" s="55" t="s">
        <v>7</v>
      </c>
      <c r="D44" s="56">
        <v>5835.4638980613117</v>
      </c>
    </row>
    <row r="45" spans="1:4" ht="28.8">
      <c r="A45" s="55" t="s">
        <v>4</v>
      </c>
      <c r="B45" s="55" t="s">
        <v>11</v>
      </c>
      <c r="C45" s="55" t="s">
        <v>7</v>
      </c>
      <c r="D45" s="56">
        <v>600.28906691958559</v>
      </c>
    </row>
    <row r="46" spans="1:4">
      <c r="A46" s="55" t="s">
        <v>4</v>
      </c>
      <c r="B46" s="55" t="s">
        <v>11</v>
      </c>
      <c r="C46" s="55" t="s">
        <v>8</v>
      </c>
      <c r="D46" s="56">
        <v>21358.408439817893</v>
      </c>
    </row>
    <row r="47" spans="1:4">
      <c r="A47" s="55" t="s">
        <v>4</v>
      </c>
      <c r="B47" s="55" t="s">
        <v>11</v>
      </c>
      <c r="C47" s="55" t="s">
        <v>8</v>
      </c>
      <c r="D47" s="56">
        <v>319.80508598273764</v>
      </c>
    </row>
    <row r="48" spans="1:4">
      <c r="A48" s="55" t="s">
        <v>4</v>
      </c>
      <c r="B48" s="55" t="s">
        <v>11</v>
      </c>
      <c r="C48" s="55" t="s">
        <v>8</v>
      </c>
      <c r="D48" s="56">
        <v>411.69574082289165</v>
      </c>
    </row>
    <row r="49" spans="1:4">
      <c r="A49" s="55" t="s">
        <v>4</v>
      </c>
      <c r="B49" s="55" t="s">
        <v>11</v>
      </c>
      <c r="C49" s="55" t="s">
        <v>8</v>
      </c>
      <c r="D49" s="56">
        <v>2.6857193567240931</v>
      </c>
    </row>
    <row r="50" spans="1:4">
      <c r="A50" s="55" t="s">
        <v>4</v>
      </c>
      <c r="B50" s="55" t="s">
        <v>11</v>
      </c>
      <c r="C50" s="55" t="s">
        <v>9</v>
      </c>
      <c r="D50" s="56">
        <v>3096.763149506005</v>
      </c>
    </row>
    <row r="51" spans="1:4">
      <c r="A51" s="55" t="s">
        <v>4</v>
      </c>
      <c r="B51" s="55" t="s">
        <v>11</v>
      </c>
      <c r="C51" s="55" t="s">
        <v>9</v>
      </c>
      <c r="D51" s="56">
        <v>5648.9223336003943</v>
      </c>
    </row>
    <row r="52" spans="1:4">
      <c r="A52" s="55" t="s">
        <v>4</v>
      </c>
      <c r="B52" s="55" t="s">
        <v>11</v>
      </c>
      <c r="C52" s="55" t="s">
        <v>9</v>
      </c>
      <c r="D52" s="56">
        <v>498.3766105734428</v>
      </c>
    </row>
    <row r="53" spans="1:4" ht="28.8">
      <c r="A53" s="55" t="s">
        <v>4</v>
      </c>
      <c r="B53" s="55" t="s">
        <v>11</v>
      </c>
      <c r="C53" s="55" t="s">
        <v>10</v>
      </c>
      <c r="D53" s="56">
        <v>8756.2519884348021</v>
      </c>
    </row>
    <row r="54" spans="1:4" ht="28.8">
      <c r="A54" s="55" t="s">
        <v>4</v>
      </c>
      <c r="B54" s="55" t="s">
        <v>11</v>
      </c>
      <c r="C54" s="55" t="s">
        <v>10</v>
      </c>
      <c r="D54" s="56">
        <v>16027.545083726754</v>
      </c>
    </row>
    <row r="55" spans="1:4" ht="28.8">
      <c r="A55" s="55" t="s">
        <v>4</v>
      </c>
      <c r="B55" s="55" t="s">
        <v>11</v>
      </c>
      <c r="C55" s="55" t="s">
        <v>10</v>
      </c>
      <c r="D55" s="56">
        <v>1138.2634570588359</v>
      </c>
    </row>
    <row r="56" spans="1:4">
      <c r="A56" s="55" t="s">
        <v>12</v>
      </c>
      <c r="B56" s="55" t="s">
        <v>5</v>
      </c>
      <c r="C56" s="55" t="s">
        <v>6</v>
      </c>
      <c r="D56" s="56">
        <v>146.70353563012245</v>
      </c>
    </row>
    <row r="57" spans="1:4">
      <c r="A57" s="55" t="s">
        <v>12</v>
      </c>
      <c r="B57" s="55" t="s">
        <v>5</v>
      </c>
      <c r="C57" s="55" t="s">
        <v>6</v>
      </c>
      <c r="D57" s="56">
        <v>241.3421967933632</v>
      </c>
    </row>
    <row r="58" spans="1:4" ht="28.8">
      <c r="A58" s="55" t="s">
        <v>12</v>
      </c>
      <c r="B58" s="55" t="s">
        <v>5</v>
      </c>
      <c r="C58" s="55" t="s">
        <v>7</v>
      </c>
      <c r="D58" s="56">
        <v>10.430801400004849</v>
      </c>
    </row>
    <row r="59" spans="1:4" ht="28.8">
      <c r="A59" s="55" t="s">
        <v>12</v>
      </c>
      <c r="B59" s="55" t="s">
        <v>5</v>
      </c>
      <c r="C59" s="55" t="s">
        <v>7</v>
      </c>
      <c r="D59" s="56">
        <v>161.5268865901316</v>
      </c>
    </row>
    <row r="60" spans="1:4">
      <c r="A60" s="55" t="s">
        <v>12</v>
      </c>
      <c r="B60" s="55" t="s">
        <v>5</v>
      </c>
      <c r="C60" s="55" t="s">
        <v>8</v>
      </c>
      <c r="D60" s="56">
        <v>774.52996674490623</v>
      </c>
    </row>
    <row r="61" spans="1:4">
      <c r="A61" s="55" t="s">
        <v>12</v>
      </c>
      <c r="B61" s="55" t="s">
        <v>5</v>
      </c>
      <c r="C61" s="55" t="s">
        <v>8</v>
      </c>
      <c r="D61" s="56">
        <v>53.156991842012133</v>
      </c>
    </row>
    <row r="62" spans="1:4">
      <c r="A62" s="55" t="s">
        <v>12</v>
      </c>
      <c r="B62" s="55" t="s">
        <v>5</v>
      </c>
      <c r="C62" s="55" t="s">
        <v>9</v>
      </c>
      <c r="D62" s="56">
        <v>127.73046753696566</v>
      </c>
    </row>
    <row r="63" spans="1:4" ht="28.8">
      <c r="A63" s="55" t="s">
        <v>12</v>
      </c>
      <c r="B63" s="55" t="s">
        <v>5</v>
      </c>
      <c r="C63" s="55" t="s">
        <v>10</v>
      </c>
      <c r="D63" s="56">
        <v>144.18113325524456</v>
      </c>
    </row>
    <row r="64" spans="1:4" ht="28.8">
      <c r="A64" s="55" t="s">
        <v>12</v>
      </c>
      <c r="B64" s="55" t="s">
        <v>5</v>
      </c>
      <c r="C64" s="55" t="s">
        <v>10</v>
      </c>
      <c r="D64" s="56">
        <v>89.835394158509104</v>
      </c>
    </row>
    <row r="65" spans="1:4">
      <c r="A65" s="55" t="s">
        <v>12</v>
      </c>
      <c r="B65" s="55" t="s">
        <v>11</v>
      </c>
      <c r="C65" s="55" t="s">
        <v>6</v>
      </c>
      <c r="D65" s="56">
        <v>128.14716909030849</v>
      </c>
    </row>
    <row r="66" spans="1:4">
      <c r="A66" s="55" t="s">
        <v>12</v>
      </c>
      <c r="B66" s="55" t="s">
        <v>11</v>
      </c>
      <c r="C66" s="55" t="s">
        <v>6</v>
      </c>
      <c r="D66" s="56">
        <v>640.73115628690311</v>
      </c>
    </row>
    <row r="67" spans="1:4">
      <c r="A67" s="55" t="s">
        <v>12</v>
      </c>
      <c r="B67" s="55" t="s">
        <v>11</v>
      </c>
      <c r="C67" s="55" t="s">
        <v>6</v>
      </c>
      <c r="D67" s="56">
        <v>62.867727485661057</v>
      </c>
    </row>
    <row r="68" spans="1:4" ht="28.8">
      <c r="A68" s="55" t="s">
        <v>12</v>
      </c>
      <c r="B68" s="55" t="s">
        <v>11</v>
      </c>
      <c r="C68" s="55" t="s">
        <v>7</v>
      </c>
      <c r="D68" s="56">
        <v>131.92444595661445</v>
      </c>
    </row>
    <row r="69" spans="1:4" ht="28.8">
      <c r="A69" s="55" t="s">
        <v>12</v>
      </c>
      <c r="B69" s="55" t="s">
        <v>11</v>
      </c>
      <c r="C69" s="55" t="s">
        <v>7</v>
      </c>
      <c r="D69" s="56">
        <v>868.97273541386755</v>
      </c>
    </row>
    <row r="70" spans="1:4">
      <c r="A70" s="55" t="s">
        <v>12</v>
      </c>
      <c r="B70" s="55" t="s">
        <v>11</v>
      </c>
      <c r="C70" s="55" t="s">
        <v>8</v>
      </c>
      <c r="D70" s="56">
        <v>2489.9312928843874</v>
      </c>
    </row>
    <row r="71" spans="1:4">
      <c r="A71" s="55" t="s">
        <v>12</v>
      </c>
      <c r="B71" s="55" t="s">
        <v>11</v>
      </c>
      <c r="C71" s="55" t="s">
        <v>8</v>
      </c>
      <c r="D71" s="56">
        <v>130.79883127098495</v>
      </c>
    </row>
    <row r="72" spans="1:4">
      <c r="A72" s="55" t="s">
        <v>12</v>
      </c>
      <c r="B72" s="55" t="s">
        <v>11</v>
      </c>
      <c r="C72" s="55" t="s">
        <v>8</v>
      </c>
      <c r="D72" s="56">
        <v>86.16416439871665</v>
      </c>
    </row>
    <row r="73" spans="1:4">
      <c r="A73" s="55" t="s">
        <v>12</v>
      </c>
      <c r="B73" s="55" t="s">
        <v>11</v>
      </c>
      <c r="C73" s="55" t="s">
        <v>9</v>
      </c>
      <c r="D73" s="56">
        <v>27.204391274258576</v>
      </c>
    </row>
    <row r="74" spans="1:4">
      <c r="A74" s="55" t="s">
        <v>12</v>
      </c>
      <c r="B74" s="55" t="s">
        <v>11</v>
      </c>
      <c r="C74" s="55" t="s">
        <v>9</v>
      </c>
      <c r="D74" s="56">
        <v>165.8711387726143</v>
      </c>
    </row>
    <row r="75" spans="1:4" ht="28.8">
      <c r="A75" s="55" t="s">
        <v>12</v>
      </c>
      <c r="B75" s="55" t="s">
        <v>11</v>
      </c>
      <c r="C75" s="55" t="s">
        <v>10</v>
      </c>
      <c r="D75" s="56">
        <v>212.30073749891449</v>
      </c>
    </row>
    <row r="76" spans="1:4" ht="28.8">
      <c r="A76" s="55" t="s">
        <v>12</v>
      </c>
      <c r="B76" s="55" t="s">
        <v>11</v>
      </c>
      <c r="C76" s="55" t="s">
        <v>10</v>
      </c>
      <c r="D76" s="56">
        <v>133.43070342982128</v>
      </c>
    </row>
    <row r="77" spans="1:4" ht="28.8">
      <c r="A77" s="55" t="s">
        <v>12</v>
      </c>
      <c r="B77" s="55" t="s">
        <v>11</v>
      </c>
      <c r="C77" s="55" t="s">
        <v>10</v>
      </c>
      <c r="D77" s="56">
        <v>19.922101113405091</v>
      </c>
    </row>
    <row r="78" spans="1:4">
      <c r="A78" s="55" t="s">
        <v>13</v>
      </c>
      <c r="B78" s="55" t="s">
        <v>5</v>
      </c>
      <c r="C78" s="55" t="s">
        <v>6</v>
      </c>
      <c r="D78" s="56">
        <v>180.0194061876922</v>
      </c>
    </row>
    <row r="79" spans="1:4">
      <c r="A79" s="55" t="s">
        <v>13</v>
      </c>
      <c r="B79" s="55" t="s">
        <v>5</v>
      </c>
      <c r="C79" s="55" t="s">
        <v>6</v>
      </c>
      <c r="D79" s="56">
        <v>85.683258962394802</v>
      </c>
    </row>
    <row r="80" spans="1:4" ht="28.8">
      <c r="A80" s="55" t="s">
        <v>13</v>
      </c>
      <c r="B80" s="55" t="s">
        <v>5</v>
      </c>
      <c r="C80" s="55" t="s">
        <v>7</v>
      </c>
      <c r="D80" s="56">
        <v>71.236662360402704</v>
      </c>
    </row>
    <row r="81" spans="1:4" ht="28.8">
      <c r="A81" s="55" t="s">
        <v>13</v>
      </c>
      <c r="B81" s="55" t="s">
        <v>5</v>
      </c>
      <c r="C81" s="55" t="s">
        <v>7</v>
      </c>
      <c r="D81" s="56">
        <v>91.937249485278969</v>
      </c>
    </row>
    <row r="82" spans="1:4">
      <c r="A82" s="55" t="s">
        <v>13</v>
      </c>
      <c r="B82" s="55" t="s">
        <v>5</v>
      </c>
      <c r="C82" s="55" t="s">
        <v>8</v>
      </c>
      <c r="D82" s="56">
        <v>401.70934928111285</v>
      </c>
    </row>
    <row r="83" spans="1:4">
      <c r="A83" s="55" t="s">
        <v>13</v>
      </c>
      <c r="B83" s="55" t="s">
        <v>5</v>
      </c>
      <c r="C83" s="55" t="s">
        <v>8</v>
      </c>
      <c r="D83" s="56">
        <v>166.59001399211931</v>
      </c>
    </row>
    <row r="84" spans="1:4">
      <c r="A84" s="55" t="s">
        <v>13</v>
      </c>
      <c r="B84" s="55" t="s">
        <v>5</v>
      </c>
      <c r="C84" s="55" t="s">
        <v>8</v>
      </c>
      <c r="D84" s="56">
        <v>11.528265454696164</v>
      </c>
    </row>
    <row r="85" spans="1:4">
      <c r="A85" s="55" t="s">
        <v>13</v>
      </c>
      <c r="B85" s="55" t="s">
        <v>5</v>
      </c>
      <c r="C85" s="55" t="s">
        <v>9</v>
      </c>
      <c r="D85" s="56">
        <v>32.395816507871537</v>
      </c>
    </row>
    <row r="86" spans="1:4">
      <c r="A86" s="55" t="s">
        <v>13</v>
      </c>
      <c r="B86" s="55" t="s">
        <v>5</v>
      </c>
      <c r="C86" s="55" t="s">
        <v>9</v>
      </c>
      <c r="D86" s="56">
        <v>74.742068656439358</v>
      </c>
    </row>
    <row r="87" spans="1:4">
      <c r="A87" s="55" t="s">
        <v>13</v>
      </c>
      <c r="B87" s="55" t="s">
        <v>5</v>
      </c>
      <c r="C87" s="55" t="s">
        <v>9</v>
      </c>
      <c r="D87" s="56">
        <v>22.810797820591819</v>
      </c>
    </row>
    <row r="88" spans="1:4" ht="28.8">
      <c r="A88" s="55" t="s">
        <v>13</v>
      </c>
      <c r="B88" s="55" t="s">
        <v>5</v>
      </c>
      <c r="C88" s="55" t="s">
        <v>10</v>
      </c>
      <c r="D88" s="56">
        <v>79.869204533859062</v>
      </c>
    </row>
    <row r="89" spans="1:4" ht="28.8">
      <c r="A89" s="55" t="s">
        <v>13</v>
      </c>
      <c r="B89" s="55" t="s">
        <v>5</v>
      </c>
      <c r="C89" s="55" t="s">
        <v>10</v>
      </c>
      <c r="D89" s="56">
        <v>164.15346213938855</v>
      </c>
    </row>
    <row r="90" spans="1:4">
      <c r="A90" s="55" t="s">
        <v>13</v>
      </c>
      <c r="B90" s="55" t="s">
        <v>11</v>
      </c>
      <c r="C90" s="55" t="s">
        <v>6</v>
      </c>
      <c r="D90" s="56">
        <v>18.188495219359282</v>
      </c>
    </row>
    <row r="91" spans="1:4">
      <c r="A91" s="55" t="s">
        <v>13</v>
      </c>
      <c r="B91" s="55" t="s">
        <v>11</v>
      </c>
      <c r="C91" s="55" t="s">
        <v>6</v>
      </c>
      <c r="D91" s="56">
        <v>123.99660186418295</v>
      </c>
    </row>
    <row r="92" spans="1:4">
      <c r="A92" s="55" t="s">
        <v>13</v>
      </c>
      <c r="B92" s="55" t="s">
        <v>11</v>
      </c>
      <c r="C92" s="55" t="s">
        <v>6</v>
      </c>
      <c r="D92" s="56">
        <v>14.956075429155453</v>
      </c>
    </row>
    <row r="93" spans="1:4" ht="28.8">
      <c r="A93" s="55" t="s">
        <v>13</v>
      </c>
      <c r="B93" s="55" t="s">
        <v>11</v>
      </c>
      <c r="C93" s="55" t="s">
        <v>7</v>
      </c>
      <c r="D93" s="56">
        <v>30.228924963023694</v>
      </c>
    </row>
    <row r="94" spans="1:4" ht="28.8">
      <c r="A94" s="55" t="s">
        <v>13</v>
      </c>
      <c r="B94" s="55" t="s">
        <v>11</v>
      </c>
      <c r="C94" s="55" t="s">
        <v>7</v>
      </c>
      <c r="D94" s="56">
        <v>263.71714522510274</v>
      </c>
    </row>
    <row r="95" spans="1:4">
      <c r="A95" s="55" t="s">
        <v>13</v>
      </c>
      <c r="B95" s="55" t="s">
        <v>11</v>
      </c>
      <c r="C95" s="55" t="s">
        <v>8</v>
      </c>
      <c r="D95" s="56">
        <v>867.23082428899761</v>
      </c>
    </row>
    <row r="96" spans="1:4">
      <c r="A96" s="55" t="s">
        <v>13</v>
      </c>
      <c r="B96" s="55" t="s">
        <v>11</v>
      </c>
      <c r="C96" s="55" t="s">
        <v>8</v>
      </c>
      <c r="D96" s="56">
        <v>49.938484820633711</v>
      </c>
    </row>
    <row r="97" spans="1:4">
      <c r="A97" s="55" t="s">
        <v>13</v>
      </c>
      <c r="B97" s="55" t="s">
        <v>11</v>
      </c>
      <c r="C97" s="55" t="s">
        <v>8</v>
      </c>
      <c r="D97" s="56">
        <v>68.280716071671335</v>
      </c>
    </row>
    <row r="98" spans="1:4">
      <c r="A98" s="55" t="s">
        <v>13</v>
      </c>
      <c r="B98" s="55" t="s">
        <v>11</v>
      </c>
      <c r="C98" s="55" t="s">
        <v>9</v>
      </c>
      <c r="D98" s="56">
        <v>15.36729479090782</v>
      </c>
    </row>
    <row r="99" spans="1:4">
      <c r="A99" s="55" t="s">
        <v>13</v>
      </c>
      <c r="B99" s="55" t="s">
        <v>11</v>
      </c>
      <c r="C99" s="55" t="s">
        <v>9</v>
      </c>
      <c r="D99" s="56">
        <v>35.107620387266202</v>
      </c>
    </row>
    <row r="100" spans="1:4" ht="28.8">
      <c r="A100" s="55" t="s">
        <v>13</v>
      </c>
      <c r="B100" s="55" t="s">
        <v>11</v>
      </c>
      <c r="C100" s="55" t="s">
        <v>10</v>
      </c>
      <c r="D100" s="56">
        <v>108.12780032897263</v>
      </c>
    </row>
    <row r="101" spans="1:4" ht="28.8">
      <c r="A101" s="55" t="s">
        <v>13</v>
      </c>
      <c r="B101" s="55" t="s">
        <v>11</v>
      </c>
      <c r="C101" s="55" t="s">
        <v>10</v>
      </c>
      <c r="D101" s="56">
        <v>132.59862347459736</v>
      </c>
    </row>
    <row r="102" spans="1:4" ht="28.8">
      <c r="A102" s="55" t="s">
        <v>13</v>
      </c>
      <c r="B102" s="55" t="s">
        <v>11</v>
      </c>
      <c r="C102" s="55" t="s">
        <v>10</v>
      </c>
      <c r="D102" s="56">
        <v>8.4794975330043254</v>
      </c>
    </row>
    <row r="103" spans="1:4">
      <c r="A103" s="36"/>
      <c r="B103" s="36"/>
      <c r="C103" s="36"/>
      <c r="D103" s="37"/>
    </row>
    <row r="104" spans="1:4">
      <c r="A104" s="36"/>
      <c r="B104" s="36"/>
      <c r="C104" s="36"/>
      <c r="D104" s="37"/>
    </row>
    <row r="105" spans="1:4">
      <c r="A105" s="36"/>
      <c r="B105" s="36"/>
      <c r="C105" s="36"/>
      <c r="D105" s="37"/>
    </row>
    <row r="106" spans="1:4">
      <c r="A106" s="36"/>
      <c r="B106" s="36"/>
      <c r="C106" s="36"/>
      <c r="D106" s="37"/>
    </row>
    <row r="107" spans="1:4">
      <c r="A107" s="36"/>
      <c r="B107" s="36"/>
      <c r="C107" s="36"/>
      <c r="D107" s="37"/>
    </row>
    <row r="108" spans="1:4">
      <c r="A108" s="36"/>
      <c r="B108" s="36"/>
      <c r="C108" s="36"/>
      <c r="D108" s="37"/>
    </row>
    <row r="109" spans="1:4">
      <c r="A109" s="36"/>
      <c r="B109" s="36"/>
      <c r="C109" s="36"/>
      <c r="D109" s="37"/>
    </row>
    <row r="110" spans="1:4">
      <c r="A110" s="36"/>
      <c r="B110" s="36"/>
      <c r="C110" s="36"/>
      <c r="D110" s="37"/>
    </row>
    <row r="111" spans="1:4">
      <c r="A111" s="36"/>
      <c r="B111" s="36"/>
      <c r="C111" s="36"/>
      <c r="D111" s="37"/>
    </row>
    <row r="112" spans="1:4">
      <c r="A112" s="36"/>
      <c r="B112" s="36"/>
      <c r="C112" s="36"/>
      <c r="D112" s="37"/>
    </row>
    <row r="113" spans="1:4">
      <c r="A113" s="36"/>
      <c r="B113" s="36"/>
      <c r="C113" s="36"/>
      <c r="D113" s="37"/>
    </row>
    <row r="114" spans="1:4">
      <c r="A114" s="36"/>
      <c r="B114" s="36"/>
      <c r="C114" s="36"/>
      <c r="D114" s="37"/>
    </row>
    <row r="115" spans="1:4">
      <c r="A115" s="36"/>
      <c r="B115" s="36"/>
      <c r="C115" s="36"/>
      <c r="D115" s="37"/>
    </row>
    <row r="116" spans="1:4">
      <c r="A116" s="36"/>
      <c r="B116" s="36"/>
      <c r="C116" s="36"/>
      <c r="D116" s="37"/>
    </row>
    <row r="117" spans="1:4">
      <c r="A117" s="36"/>
      <c r="B117" s="36"/>
      <c r="C117" s="36"/>
      <c r="D117" s="37"/>
    </row>
    <row r="118" spans="1:4">
      <c r="A118" s="36"/>
      <c r="B118" s="36"/>
      <c r="C118" s="36"/>
      <c r="D118" s="37"/>
    </row>
    <row r="119" spans="1:4">
      <c r="A119" s="36"/>
      <c r="B119" s="36"/>
      <c r="C119" s="36"/>
      <c r="D119" s="37"/>
    </row>
    <row r="120" spans="1:4">
      <c r="A120" s="34"/>
      <c r="B120" s="34"/>
      <c r="C120" s="34"/>
      <c r="D120" s="35"/>
    </row>
    <row r="121" spans="1:4">
      <c r="A121" s="34"/>
      <c r="B121" s="34"/>
      <c r="C121" s="34"/>
      <c r="D121" s="35"/>
    </row>
    <row r="122" spans="1:4">
      <c r="A122" s="34"/>
      <c r="B122" s="34"/>
      <c r="C122" s="34"/>
      <c r="D122" s="35"/>
    </row>
    <row r="123" spans="1:4">
      <c r="A123" s="34"/>
      <c r="B123" s="34"/>
      <c r="C123" s="34"/>
      <c r="D123" s="35"/>
    </row>
  </sheetData>
  <sortState ref="A2:D96">
    <sortCondition ref="A2:A96"/>
    <sortCondition ref="B2:B96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TAR</vt:lpstr>
      <vt:lpstr>data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TouchPad</dc:creator>
  <cp:lastModifiedBy>TouchPad</cp:lastModifiedBy>
  <dcterms:created xsi:type="dcterms:W3CDTF">2012-07-24T18:37:49Z</dcterms:created>
  <dcterms:modified xsi:type="dcterms:W3CDTF">2012-08-15T15:09:52Z</dcterms:modified>
</cp:coreProperties>
</file>